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0" windowWidth="19665" windowHeight="8595" activeTab="0"/>
  </bookViews>
  <sheets>
    <sheet name="BS" sheetId="1" r:id="rId1"/>
    <sheet name="IS" sheetId="2" r:id="rId2"/>
  </sheets>
  <definedNames>
    <definedName name="_xlnm.Print_Area" localSheetId="0">'BS'!$A$1:$N$18</definedName>
  </definedNames>
  <calcPr fullCalcOnLoad="1"/>
</workbook>
</file>

<file path=xl/sharedStrings.xml><?xml version="1.0" encoding="utf-8"?>
<sst xmlns="http://schemas.openxmlformats.org/spreadsheetml/2006/main" count="135" uniqueCount="62">
  <si>
    <t>Cash and cash equivalents</t>
  </si>
  <si>
    <t>Total unearned charges and interests</t>
  </si>
  <si>
    <t>Total allowance</t>
  </si>
  <si>
    <t xml:space="preserve">Other receivables </t>
  </si>
  <si>
    <t>Property, plant and equipment</t>
  </si>
  <si>
    <t>3Q 2013</t>
  </si>
  <si>
    <t>Taiwan</t>
  </si>
  <si>
    <t>PRC</t>
  </si>
  <si>
    <t>Total fund and investments</t>
  </si>
  <si>
    <t>Gross loans and receivables</t>
  </si>
  <si>
    <t>Other assets</t>
  </si>
  <si>
    <t>Total Assets</t>
  </si>
  <si>
    <t>Interest bearing loans and borrowings</t>
  </si>
  <si>
    <t>Corporate bonds payable</t>
  </si>
  <si>
    <t>Total liabilities</t>
  </si>
  <si>
    <t>Sales revenue</t>
  </si>
  <si>
    <t>Fee and commission income</t>
  </si>
  <si>
    <t>Rental revenue</t>
  </si>
  <si>
    <t xml:space="preserve">Other operating revenue </t>
  </si>
  <si>
    <t>Total operating revenue</t>
  </si>
  <si>
    <t>Cost of goods sold</t>
  </si>
  <si>
    <t>Interest expense</t>
  </si>
  <si>
    <t>Other operating costs</t>
  </si>
  <si>
    <t>Total operating costs</t>
  </si>
  <si>
    <t>Employee compensation and benefits</t>
  </si>
  <si>
    <t>Other operating expense</t>
  </si>
  <si>
    <t>Total operating expenses</t>
  </si>
  <si>
    <t>Other operating gain and loss</t>
  </si>
  <si>
    <t>Profit before taxation</t>
  </si>
  <si>
    <t>Income tax expense</t>
  </si>
  <si>
    <t>Profit from continuing operations</t>
  </si>
  <si>
    <t>Interest income</t>
  </si>
  <si>
    <t>Gross margin</t>
  </si>
  <si>
    <t>Impairment loss on loans, notes and receivables</t>
  </si>
  <si>
    <t>(NTD'000)</t>
  </si>
  <si>
    <t>Total non-operationg revenue and expense</t>
  </si>
  <si>
    <t xml:space="preserve">Conoslidated </t>
  </si>
  <si>
    <t>Loans and receivables-net</t>
  </si>
  <si>
    <t xml:space="preserve">Other Liabilities  </t>
  </si>
  <si>
    <t>Cost of rental revenue</t>
  </si>
  <si>
    <t>4Q 2013</t>
  </si>
  <si>
    <t>4Q 2013</t>
  </si>
  <si>
    <t>Taiwan</t>
  </si>
  <si>
    <t>PRC</t>
  </si>
  <si>
    <t xml:space="preserve">Conoslidated </t>
  </si>
  <si>
    <t>4Q 2014</t>
  </si>
  <si>
    <t>For the Years Ended December 31, 2014</t>
  </si>
  <si>
    <t>Other operating gain and loss</t>
  </si>
  <si>
    <t>Profit from continuing operations</t>
  </si>
  <si>
    <t>(NTD'000)</t>
  </si>
  <si>
    <t>Total fund and investments</t>
  </si>
  <si>
    <t>Gross loans and receivables</t>
  </si>
  <si>
    <t>Loans and receivables-net</t>
  </si>
  <si>
    <t>Other assets</t>
  </si>
  <si>
    <t>Total Assets</t>
  </si>
  <si>
    <t>Interest bearing loans and borrowings</t>
  </si>
  <si>
    <t>Corporate bonds payable</t>
  </si>
  <si>
    <t xml:space="preserve">Other Liabilities  </t>
  </si>
  <si>
    <t>Total liabilities</t>
  </si>
  <si>
    <t>台灣</t>
  </si>
  <si>
    <t>中國</t>
  </si>
  <si>
    <t>合併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</si>
</sst>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 "/>
    <numFmt numFmtId="178" formatCode="#,##0_ "/>
    <numFmt numFmtId="179" formatCode="_-* #,##0_-;\-* #,##0_-;_-* &quot;-&quot;??_-;_-@_-"/>
    <numFmt numFmtId="180" formatCode="0.0%"/>
    <numFmt numFmtId="181" formatCode="#,##0.0;[Red]\-#,##0.0"/>
    <numFmt numFmtId="182" formatCode="#,##0_);\(#,##0\)"/>
    <numFmt numFmtId="183" formatCode="0.00_);[Red]\(0.00\)"/>
    <numFmt numFmtId="184" formatCode="0_);[Red]\(0\)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  <numFmt numFmtId="191" formatCode="#,##0.00_);[Red]\(#,##0.00\)"/>
    <numFmt numFmtId="192" formatCode="_-* #,##0.0_-;\-* #,##0.0_-;_-* &quot;-&quot;??_-;_-@_-"/>
    <numFmt numFmtId="193" formatCode="_-* #,##0.000_-;\-* #,##0.000_-;_-* &quot;-&quot;??_-;_-@_-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微軟正黑體"/>
      <family val="2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b/>
      <sz val="11"/>
      <color indexed="56"/>
      <name val="微軟正黑體"/>
      <family val="2"/>
    </font>
    <font>
      <u val="single"/>
      <sz val="10"/>
      <color indexed="8"/>
      <name val="微軟正黑體"/>
      <family val="2"/>
    </font>
    <font>
      <sz val="8"/>
      <color indexed="19"/>
      <name val="微軟正黑體"/>
      <family val="2"/>
    </font>
    <font>
      <sz val="10"/>
      <color indexed="21"/>
      <name val="微軟正黑體"/>
      <family val="2"/>
    </font>
    <font>
      <u val="single"/>
      <sz val="10"/>
      <color indexed="21"/>
      <name val="微軟正黑體"/>
      <family val="2"/>
    </font>
    <font>
      <b/>
      <sz val="12"/>
      <color indexed="10"/>
      <name val="新細明體"/>
      <family val="1"/>
    </font>
    <font>
      <sz val="6"/>
      <color indexed="8"/>
      <name val="新細明體"/>
      <family val="1"/>
    </font>
    <font>
      <b/>
      <sz val="10"/>
      <color indexed="8"/>
      <name val="微軟正黑體"/>
      <family val="2"/>
    </font>
    <font>
      <sz val="12"/>
      <name val="微軟正黑體"/>
      <family val="2"/>
    </font>
    <font>
      <b/>
      <sz val="8"/>
      <color indexed="19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1"/>
      <color theme="3"/>
      <name val="微軟正黑體"/>
      <family val="2"/>
    </font>
    <font>
      <u val="single"/>
      <sz val="10"/>
      <color theme="1"/>
      <name val="微軟正黑體"/>
      <family val="2"/>
    </font>
    <font>
      <sz val="8"/>
      <color theme="2" tint="-0.7499799728393555"/>
      <name val="微軟正黑體"/>
      <family val="2"/>
    </font>
    <font>
      <sz val="10"/>
      <color theme="8" tint="-0.4999699890613556"/>
      <name val="微軟正黑體"/>
      <family val="2"/>
    </font>
    <font>
      <u val="single"/>
      <sz val="10"/>
      <color theme="8" tint="-0.4999699890613556"/>
      <name val="微軟正黑體"/>
      <family val="2"/>
    </font>
    <font>
      <b/>
      <sz val="12"/>
      <color rgb="FFFF0000"/>
      <name val="Calibri"/>
      <family val="1"/>
    </font>
    <font>
      <sz val="6"/>
      <color theme="1"/>
      <name val="Calibri"/>
      <family val="1"/>
    </font>
    <font>
      <b/>
      <sz val="10"/>
      <color theme="1"/>
      <name val="微軟正黑體"/>
      <family val="2"/>
    </font>
    <font>
      <b/>
      <sz val="8"/>
      <color theme="2" tint="-0.7499799728393555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10" borderId="0" xfId="0" applyFont="1" applyFill="1" applyAlignment="1">
      <alignment vertical="center"/>
    </xf>
    <xf numFmtId="176" fontId="48" fillId="0" borderId="0" xfId="35" applyNumberFormat="1" applyFont="1" applyAlignment="1">
      <alignment vertical="center"/>
    </xf>
    <xf numFmtId="176" fontId="3" fillId="0" borderId="0" xfId="35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8" fillId="34" borderId="10" xfId="0" applyFont="1" applyFill="1" applyBorder="1" applyAlignment="1">
      <alignment vertical="center"/>
    </xf>
    <xf numFmtId="176" fontId="48" fillId="34" borderId="10" xfId="35" applyNumberFormat="1" applyFont="1" applyFill="1" applyBorder="1" applyAlignment="1">
      <alignment vertical="center"/>
    </xf>
    <xf numFmtId="0" fontId="48" fillId="35" borderId="10" xfId="0" applyFont="1" applyFill="1" applyBorder="1" applyAlignment="1">
      <alignment vertical="center"/>
    </xf>
    <xf numFmtId="176" fontId="48" fillId="35" borderId="10" xfId="35" applyNumberFormat="1" applyFont="1" applyFill="1" applyBorder="1" applyAlignment="1">
      <alignment vertical="center"/>
    </xf>
    <xf numFmtId="176" fontId="48" fillId="10" borderId="0" xfId="35" applyNumberFormat="1" applyFont="1" applyFill="1" applyAlignment="1">
      <alignment vertical="center"/>
    </xf>
    <xf numFmtId="0" fontId="48" fillId="33" borderId="10" xfId="0" applyFont="1" applyFill="1" applyBorder="1" applyAlignment="1">
      <alignment vertical="center"/>
    </xf>
    <xf numFmtId="176" fontId="50" fillId="33" borderId="0" xfId="35" applyNumberFormat="1" applyFont="1" applyFill="1" applyAlignment="1">
      <alignment vertical="center"/>
    </xf>
    <xf numFmtId="176" fontId="50" fillId="33" borderId="10" xfId="35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48" fillId="36" borderId="0" xfId="35" applyNumberFormat="1" applyFont="1" applyFill="1" applyAlignment="1">
      <alignment vertical="center"/>
    </xf>
    <xf numFmtId="179" fontId="0" fillId="0" borderId="0" xfId="35" applyNumberFormat="1" applyFont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9" fontId="55" fillId="0" borderId="0" xfId="35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9" fontId="48" fillId="0" borderId="11" xfId="35" applyNumberFormat="1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J1">
      <selection activeCell="L2" sqref="L2:N2"/>
    </sheetView>
  </sheetViews>
  <sheetFormatPr defaultColWidth="9.00390625" defaultRowHeight="15.75"/>
  <cols>
    <col min="1" max="1" width="37.25390625" style="0" customWidth="1"/>
    <col min="2" max="4" width="18.375" style="0" hidden="1" customWidth="1"/>
    <col min="5" max="5" width="2.625" style="0" hidden="1" customWidth="1"/>
    <col min="6" max="6" width="29.625" style="0" hidden="1" customWidth="1"/>
    <col min="7" max="9" width="18.375" style="0" hidden="1" customWidth="1"/>
    <col min="10" max="10" width="2.125" style="0" customWidth="1"/>
    <col min="11" max="11" width="37.75390625" style="0" customWidth="1"/>
    <col min="12" max="12" width="23.75390625" style="0" customWidth="1"/>
    <col min="13" max="13" width="28.375" style="0" customWidth="1"/>
    <col min="14" max="14" width="30.00390625" style="0" customWidth="1"/>
    <col min="15" max="15" width="16.875" style="0" bestFit="1" customWidth="1"/>
    <col min="16" max="16" width="15.875" style="0" bestFit="1" customWidth="1"/>
    <col min="17" max="17" width="14.75390625" style="0" bestFit="1" customWidth="1"/>
    <col min="18" max="18" width="15.875" style="0" bestFit="1" customWidth="1"/>
    <col min="20" max="20" width="11.875" style="0" bestFit="1" customWidth="1"/>
    <col min="21" max="21" width="10.875" style="0" bestFit="1" customWidth="1"/>
    <col min="22" max="22" width="11.875" style="0" bestFit="1" customWidth="1"/>
  </cols>
  <sheetData>
    <row r="1" spans="1:14" ht="18" customHeight="1">
      <c r="A1" s="18"/>
      <c r="B1" s="25" t="s">
        <v>5</v>
      </c>
      <c r="C1" s="25"/>
      <c r="D1" s="25"/>
      <c r="F1" s="18"/>
      <c r="G1" s="25" t="s">
        <v>41</v>
      </c>
      <c r="H1" s="25"/>
      <c r="I1" s="25"/>
      <c r="K1" s="18"/>
      <c r="L1" s="26" t="s">
        <v>45</v>
      </c>
      <c r="M1" s="26"/>
      <c r="N1" s="26"/>
    </row>
    <row r="2" spans="1:14" ht="20.25" customHeight="1">
      <c r="A2" s="16" t="s">
        <v>34</v>
      </c>
      <c r="B2" s="6" t="s">
        <v>6</v>
      </c>
      <c r="C2" s="6" t="s">
        <v>7</v>
      </c>
      <c r="D2" s="6" t="s">
        <v>36</v>
      </c>
      <c r="F2" s="16" t="s">
        <v>34</v>
      </c>
      <c r="G2" s="6" t="s">
        <v>42</v>
      </c>
      <c r="H2" s="6" t="s">
        <v>43</v>
      </c>
      <c r="I2" s="6" t="s">
        <v>44</v>
      </c>
      <c r="K2" s="28" t="s">
        <v>49</v>
      </c>
      <c r="L2" s="6" t="s">
        <v>59</v>
      </c>
      <c r="M2" s="6" t="s">
        <v>60</v>
      </c>
      <c r="N2" s="6" t="s">
        <v>61</v>
      </c>
    </row>
    <row r="3" spans="1:22" ht="16.5">
      <c r="A3" s="1" t="s">
        <v>0</v>
      </c>
      <c r="B3" s="4">
        <v>1572301.67228</v>
      </c>
      <c r="C3" s="4">
        <v>5275365.758294</v>
      </c>
      <c r="D3" s="4">
        <v>7906996.566</v>
      </c>
      <c r="F3" s="1" t="s">
        <v>0</v>
      </c>
      <c r="G3" s="4">
        <v>1464585.845</v>
      </c>
      <c r="H3" s="4">
        <v>5105467.807</v>
      </c>
      <c r="I3" s="4">
        <v>7586220.669</v>
      </c>
      <c r="K3" s="1" t="s">
        <v>0</v>
      </c>
      <c r="L3" s="4">
        <v>2947113</v>
      </c>
      <c r="M3" s="4">
        <v>4600155</v>
      </c>
      <c r="N3" s="4">
        <v>8338117</v>
      </c>
      <c r="P3" s="20"/>
      <c r="Q3" s="20"/>
      <c r="R3" s="20"/>
      <c r="T3" s="7"/>
      <c r="U3" s="7"/>
      <c r="V3" s="7"/>
    </row>
    <row r="4" spans="1:22" ht="16.5">
      <c r="A4" s="1" t="s">
        <v>8</v>
      </c>
      <c r="B4" s="4">
        <f>2965468.30562+3730991.476</f>
        <v>6696459.78162</v>
      </c>
      <c r="C4" s="4">
        <v>6925.64884</v>
      </c>
      <c r="D4" s="4">
        <v>6920887.798</v>
      </c>
      <c r="F4" s="1" t="s">
        <v>8</v>
      </c>
      <c r="G4" s="4">
        <f>259393.832+4838385.205+1699946.756+1625290.868+485854.944+1265.644</f>
        <v>8910137.249</v>
      </c>
      <c r="H4" s="4">
        <f>485.348</f>
        <v>485.348</v>
      </c>
      <c r="I4" s="4">
        <f>264083.17+0+4838385.205+485.348+1699946.756+1728104.143+485854.944+29479.712</f>
        <v>9046339.277999999</v>
      </c>
      <c r="K4" s="1" t="s">
        <v>50</v>
      </c>
      <c r="L4" s="4">
        <f>169278.476+6723294.754+710058.462+1457033.221+2408525.45+1276.701</f>
        <v>11469467.063999997</v>
      </c>
      <c r="M4" s="4">
        <f>28736.143+37759.874</f>
        <v>66496.017</v>
      </c>
      <c r="N4" s="4">
        <v>11838730</v>
      </c>
      <c r="P4" s="20"/>
      <c r="Q4" s="20"/>
      <c r="R4" s="20"/>
      <c r="T4" s="7"/>
      <c r="U4" s="7"/>
      <c r="V4" s="7"/>
    </row>
    <row r="5" spans="1:22" ht="16.5">
      <c r="A5" s="1" t="s">
        <v>9</v>
      </c>
      <c r="B5" s="4">
        <f>69962171.75575+10566341.695+282144.286</f>
        <v>80810657.73674999</v>
      </c>
      <c r="C5" s="4">
        <v>57487574.276928</v>
      </c>
      <c r="D5" s="4">
        <f>171930226.246+350496.641</f>
        <v>172280722.887</v>
      </c>
      <c r="F5" s="1" t="s">
        <v>9</v>
      </c>
      <c r="G5" s="4">
        <f>74679961.419+283959.014+11748064.695</f>
        <v>86711985.12799999</v>
      </c>
      <c r="H5" s="4">
        <f>60820860.523+0</f>
        <v>60820860.523</v>
      </c>
      <c r="I5" s="4">
        <f>150644408.959+283959.014+30786944.313+60792.811</f>
        <v>181776105.09699997</v>
      </c>
      <c r="K5" s="1" t="s">
        <v>51</v>
      </c>
      <c r="L5" s="4">
        <f>90892769.4+285710.1+17407970.47+13129</f>
        <v>108599578.97</v>
      </c>
      <c r="M5" s="4">
        <f>78535136.2</f>
        <v>78535136.2</v>
      </c>
      <c r="N5" s="4">
        <v>224656750</v>
      </c>
      <c r="P5" s="20"/>
      <c r="Q5" s="20"/>
      <c r="R5" s="20"/>
      <c r="T5" s="7"/>
      <c r="U5" s="7"/>
      <c r="V5" s="7"/>
    </row>
    <row r="6" spans="1:22" ht="16.5">
      <c r="A6" s="1" t="s">
        <v>1</v>
      </c>
      <c r="B6" s="4">
        <f>-3773730.609-437760.419</f>
        <v>-4211491.028</v>
      </c>
      <c r="C6" s="4">
        <v>-6237443.880621</v>
      </c>
      <c r="D6" s="4">
        <v>-14362045.326</v>
      </c>
      <c r="F6" s="1" t="s">
        <v>1</v>
      </c>
      <c r="G6" s="4">
        <f>-577459.986-3340394.481-78.887-135634.297-346968.088</f>
        <v>-4400535.739</v>
      </c>
      <c r="H6" s="4">
        <f>-6380929.83</f>
        <v>-6380929.83</v>
      </c>
      <c r="I6" s="4">
        <f>-7170813.335-5062690.967-78.887-237356.272-2178502.868-3677.815</f>
        <v>-14653120.144</v>
      </c>
      <c r="K6" s="1" t="s">
        <v>1</v>
      </c>
      <c r="L6" s="4">
        <f>-6925221</f>
        <v>-6925221</v>
      </c>
      <c r="M6" s="4">
        <f>-8706056</f>
        <v>-8706056</v>
      </c>
      <c r="N6" s="4">
        <v>-19698454</v>
      </c>
      <c r="O6" s="21"/>
      <c r="P6" s="20"/>
      <c r="Q6" s="20"/>
      <c r="R6" s="20"/>
      <c r="T6" s="7"/>
      <c r="U6" s="7"/>
      <c r="V6" s="7"/>
    </row>
    <row r="7" spans="1:22" ht="16.5">
      <c r="A7" s="1" t="s">
        <v>2</v>
      </c>
      <c r="B7" s="4">
        <f>-1940010.80795-133468.102</f>
        <v>-2073478.90995</v>
      </c>
      <c r="C7" s="4">
        <v>-1597365.839574</v>
      </c>
      <c r="D7" s="4">
        <v>-4795207.503</v>
      </c>
      <c r="F7" s="1" t="s">
        <v>2</v>
      </c>
      <c r="G7" s="4">
        <f>-2099127.211-132850.568</f>
        <v>-2231977.779</v>
      </c>
      <c r="H7" s="4">
        <f>-2078320.984-0</f>
        <v>-2078320.984</v>
      </c>
      <c r="I7" s="4">
        <f>-5008089.469-390680.834</f>
        <v>-5398770.302999999</v>
      </c>
      <c r="K7" s="1" t="s">
        <v>2</v>
      </c>
      <c r="L7" s="4">
        <f>-2558020</f>
        <v>-2558020</v>
      </c>
      <c r="M7" s="4">
        <f>-2760623</f>
        <v>-2760623</v>
      </c>
      <c r="N7" s="4">
        <v>-6485351</v>
      </c>
      <c r="O7" s="21"/>
      <c r="P7" s="20"/>
      <c r="Q7" s="20"/>
      <c r="R7" s="20"/>
      <c r="T7" s="7"/>
      <c r="U7" s="7"/>
      <c r="V7" s="7"/>
    </row>
    <row r="8" spans="1:22" ht="16.5">
      <c r="A8" s="1" t="s">
        <v>37</v>
      </c>
      <c r="B8" s="5">
        <f>64530574.625+9995113.174</f>
        <v>74525687.799</v>
      </c>
      <c r="C8" s="4">
        <v>49652764.556733</v>
      </c>
      <c r="D8" s="4">
        <f>152772973.417+350496.641</f>
        <v>153123470.058</v>
      </c>
      <c r="E8" s="7"/>
      <c r="F8" s="1" t="s">
        <v>37</v>
      </c>
      <c r="G8" s="5">
        <f>G5+G6+G7</f>
        <v>80079471.61</v>
      </c>
      <c r="H8" s="4">
        <f>H5+H6+H7</f>
        <v>52361609.70900001</v>
      </c>
      <c r="I8" s="4">
        <f>I5+I6+I7</f>
        <v>161724214.64999998</v>
      </c>
      <c r="K8" s="1" t="s">
        <v>52</v>
      </c>
      <c r="L8" s="5">
        <f>L5+L6+L7</f>
        <v>99116337.97</v>
      </c>
      <c r="M8" s="4">
        <f>M5+M6+M7</f>
        <v>67068457.2</v>
      </c>
      <c r="N8" s="4">
        <f>N5+N6+N7</f>
        <v>198472945</v>
      </c>
      <c r="O8" s="21"/>
      <c r="P8" s="20"/>
      <c r="Q8" s="20"/>
      <c r="R8" s="20"/>
      <c r="T8" s="7"/>
      <c r="U8" s="7"/>
      <c r="V8" s="7"/>
    </row>
    <row r="9" spans="1:22" ht="16.5">
      <c r="A9" s="1" t="s">
        <v>3</v>
      </c>
      <c r="B9" s="4">
        <f>1909836.73784+15316</f>
        <v>1925152.73784</v>
      </c>
      <c r="C9" s="4">
        <v>3062277.809361</v>
      </c>
      <c r="D9" s="4">
        <f>5152210.181+15316</f>
        <v>5167526.181</v>
      </c>
      <c r="F9" s="1" t="s">
        <v>3</v>
      </c>
      <c r="G9" s="4">
        <f>12086.228+1387941.532+798951.457+1452.254</f>
        <v>2200431.471</v>
      </c>
      <c r="H9" s="4">
        <f>0+2615173.146+0</f>
        <v>2615173.146</v>
      </c>
      <c r="I9" s="4">
        <f>12086.228+4192578.594+807638.469+1452.252</f>
        <v>5013755.543</v>
      </c>
      <c r="K9" s="1" t="s">
        <v>3</v>
      </c>
      <c r="L9" s="4">
        <f>1488493+4059</f>
        <v>1492552</v>
      </c>
      <c r="M9" s="4">
        <f>1916571</f>
        <v>1916571</v>
      </c>
      <c r="N9" s="4">
        <f>3562287+24888</f>
        <v>3587175</v>
      </c>
      <c r="O9" s="23"/>
      <c r="P9" s="20"/>
      <c r="Q9" s="20"/>
      <c r="R9" s="20"/>
      <c r="T9" s="7"/>
      <c r="U9" s="7"/>
      <c r="V9" s="7"/>
    </row>
    <row r="10" spans="1:22" ht="16.5">
      <c r="A10" s="1" t="s">
        <v>4</v>
      </c>
      <c r="B10" s="4">
        <v>4404620.884</v>
      </c>
      <c r="C10" s="4">
        <v>2090334.50739</v>
      </c>
      <c r="D10" s="4">
        <v>6552553.888</v>
      </c>
      <c r="E10" s="7"/>
      <c r="F10" s="1" t="s">
        <v>4</v>
      </c>
      <c r="G10" s="4">
        <v>4577044.155</v>
      </c>
      <c r="H10" s="4">
        <v>2550896.402</v>
      </c>
      <c r="I10" s="4">
        <v>7186367.255</v>
      </c>
      <c r="K10" s="1" t="s">
        <v>4</v>
      </c>
      <c r="L10" s="4">
        <f>6906508</f>
        <v>6906508</v>
      </c>
      <c r="M10" s="4">
        <v>1995369</v>
      </c>
      <c r="N10" s="4">
        <v>8997856</v>
      </c>
      <c r="P10" s="20"/>
      <c r="Q10" s="20"/>
      <c r="R10" s="20"/>
      <c r="T10" s="7"/>
      <c r="U10" s="7"/>
      <c r="V10" s="7"/>
    </row>
    <row r="11" spans="1:22" ht="16.5">
      <c r="A11" s="1" t="s">
        <v>10</v>
      </c>
      <c r="B11" s="4">
        <f>1387458.86406+932899.219+4432.743+526017.054+287887.214</f>
        <v>3138695.09406</v>
      </c>
      <c r="C11" s="4">
        <f>530982.783172+842526.668+436845.161</f>
        <v>1810354.6121719999</v>
      </c>
      <c r="D11" s="4">
        <v>5254898.182</v>
      </c>
      <c r="E11" s="7"/>
      <c r="F11" s="1" t="s">
        <v>10</v>
      </c>
      <c r="G11" s="4">
        <f>1479418.225+544418.631+4296.551+572997.845+269535.602</f>
        <v>2870666.8540000003</v>
      </c>
      <c r="H11" s="4">
        <f>682817.567+23333.719+892375.997+467400.95</f>
        <v>2065928.233</v>
      </c>
      <c r="I11" s="4">
        <f>2323738.578+567752.35+22611.942+1535508.69+769441.24</f>
        <v>5219052.800000001</v>
      </c>
      <c r="K11" s="1" t="s">
        <v>53</v>
      </c>
      <c r="L11" s="4">
        <f>L12-L3-L4-L8-L9-L10</f>
        <v>3217171.9660000056</v>
      </c>
      <c r="M11" s="4">
        <f>M12-M3-M4-M8-M9-M10</f>
        <v>3120194.7829999924</v>
      </c>
      <c r="N11" s="4">
        <f>N12-N3-N4-N8-N9-N10</f>
        <v>6701734</v>
      </c>
      <c r="P11" s="20"/>
      <c r="Q11" s="20"/>
      <c r="R11" s="20"/>
      <c r="T11" s="7"/>
      <c r="U11" s="7"/>
      <c r="V11" s="7"/>
    </row>
    <row r="12" spans="1:22" ht="17.25" thickBot="1">
      <c r="A12" s="8" t="s">
        <v>11</v>
      </c>
      <c r="B12" s="9">
        <v>92262917.53264</v>
      </c>
      <c r="C12" s="9">
        <v>61898022.911885</v>
      </c>
      <c r="D12" s="9">
        <f>D3+D4+D8+D9+D10+D11</f>
        <v>184926332.673</v>
      </c>
      <c r="F12" s="8" t="s">
        <v>11</v>
      </c>
      <c r="G12" s="9">
        <v>100102337.183</v>
      </c>
      <c r="H12" s="9">
        <v>64699560.644</v>
      </c>
      <c r="I12" s="9">
        <v>195775950.198</v>
      </c>
      <c r="K12" s="8" t="s">
        <v>54</v>
      </c>
      <c r="L12" s="9">
        <v>125149150</v>
      </c>
      <c r="M12" s="9">
        <v>78767243</v>
      </c>
      <c r="N12" s="9">
        <v>237936557</v>
      </c>
      <c r="P12" s="20"/>
      <c r="Q12" s="20"/>
      <c r="R12" s="20"/>
      <c r="T12" s="7"/>
      <c r="U12" s="7"/>
      <c r="V12" s="7"/>
    </row>
    <row r="13" spans="1:22" ht="9.75" customHeight="1" thickTop="1">
      <c r="A13" s="1"/>
      <c r="B13" s="4"/>
      <c r="C13" s="4"/>
      <c r="D13" s="4"/>
      <c r="F13" s="1"/>
      <c r="G13" s="4"/>
      <c r="H13" s="4"/>
      <c r="I13" s="4"/>
      <c r="K13" s="1"/>
      <c r="L13" s="4"/>
      <c r="M13" s="4"/>
      <c r="N13" s="4"/>
      <c r="P13" s="20"/>
      <c r="Q13" s="20"/>
      <c r="R13" s="20"/>
      <c r="T13" s="7"/>
      <c r="U13" s="7"/>
      <c r="V13" s="7"/>
    </row>
    <row r="14" spans="1:22" ht="16.5">
      <c r="A14" s="1" t="s">
        <v>12</v>
      </c>
      <c r="B14" s="4">
        <f>52793885.16684+8330727.307</f>
        <v>61124612.47384</v>
      </c>
      <c r="C14" s="4">
        <v>32182726.011</v>
      </c>
      <c r="D14" s="4">
        <v>118472759.659</v>
      </c>
      <c r="F14" s="1" t="s">
        <v>12</v>
      </c>
      <c r="G14" s="4">
        <f>39018105.825-2259219+17846514.161+14164981.05-3689249.994</f>
        <v>65081132.041999996</v>
      </c>
      <c r="H14" s="4">
        <f>2727452.126+0+22514591.86+2820209.56+3689249.994</f>
        <v>31751503.54</v>
      </c>
      <c r="I14" s="4">
        <f>56463842.742+593775+40418331.621+84083.548+24346289.339+2101050</f>
        <v>124007372.25</v>
      </c>
      <c r="K14" s="1" t="s">
        <v>55</v>
      </c>
      <c r="L14" s="4">
        <v>87182773</v>
      </c>
      <c r="M14" s="4">
        <v>42841654</v>
      </c>
      <c r="N14" s="4">
        <f>66705081+261090+53297463+290100+32318477+1934000</f>
        <v>154806211</v>
      </c>
      <c r="O14" s="24"/>
      <c r="Q14" s="20"/>
      <c r="R14" s="20"/>
      <c r="T14" s="7"/>
      <c r="U14" s="7"/>
      <c r="V14" s="7"/>
    </row>
    <row r="15" spans="1:22" ht="16.5">
      <c r="A15" s="1" t="s">
        <v>13</v>
      </c>
      <c r="B15" s="4">
        <f>7624690.6+3900000</f>
        <v>11524690.6</v>
      </c>
      <c r="C15" s="4">
        <v>0</v>
      </c>
      <c r="D15" s="4">
        <v>14033743.638</v>
      </c>
      <c r="F15" s="1" t="s">
        <v>13</v>
      </c>
      <c r="G15" s="4">
        <f>8089262.9+3500000</f>
        <v>11589262.9</v>
      </c>
      <c r="H15" s="4">
        <v>0</v>
      </c>
      <c r="I15" s="4">
        <f>9093326.409+4959317.677+45675</f>
        <v>14098319.086</v>
      </c>
      <c r="K15" s="1" t="s">
        <v>56</v>
      </c>
      <c r="L15" s="4">
        <v>10168889</v>
      </c>
      <c r="M15" s="4">
        <v>0</v>
      </c>
      <c r="N15" s="4">
        <v>14956467</v>
      </c>
      <c r="P15" s="20"/>
      <c r="Q15" s="20"/>
      <c r="R15" s="20"/>
      <c r="T15" s="7"/>
      <c r="U15" s="7"/>
      <c r="V15" s="7"/>
    </row>
    <row r="16" spans="1:22" ht="16.5">
      <c r="A16" s="1" t="s">
        <v>38</v>
      </c>
      <c r="B16" s="4">
        <f>5114814.63315+183905+1648256</f>
        <v>6946975.63315</v>
      </c>
      <c r="C16" s="4">
        <f>12452538.587+2963596+352963</f>
        <v>15769097.587</v>
      </c>
      <c r="D16" s="4">
        <f>17966478.814+3680460+2423116</f>
        <v>24070054.814</v>
      </c>
      <c r="F16" s="1" t="s">
        <v>38</v>
      </c>
      <c r="G16" s="4">
        <f>G17-G14-G15</f>
        <v>8878079.970000004</v>
      </c>
      <c r="H16" s="4">
        <f>H17-H14-H15</f>
        <v>16702606.724</v>
      </c>
      <c r="I16" s="4">
        <f>I17-I14-I15</f>
        <v>27229065.35300001</v>
      </c>
      <c r="K16" s="1" t="s">
        <v>57</v>
      </c>
      <c r="L16" s="4">
        <f>L17-L15-L14</f>
        <v>10651519</v>
      </c>
      <c r="M16" s="4">
        <f>M17-M15-M14</f>
        <v>19154001</v>
      </c>
      <c r="N16" s="4">
        <f>N17-N15-N14</f>
        <v>31744798</v>
      </c>
      <c r="P16" s="20"/>
      <c r="Q16" s="20"/>
      <c r="R16" s="20"/>
      <c r="T16" s="7"/>
      <c r="U16" s="7"/>
      <c r="V16" s="7"/>
    </row>
    <row r="17" spans="1:22" ht="17.25" thickBot="1">
      <c r="A17" s="10" t="s">
        <v>14</v>
      </c>
      <c r="B17" s="11">
        <v>79596278.945</v>
      </c>
      <c r="C17" s="11">
        <v>47951824.18</v>
      </c>
      <c r="D17" s="11">
        <v>156576557.973</v>
      </c>
      <c r="F17" s="10" t="s">
        <v>14</v>
      </c>
      <c r="G17" s="11">
        <v>85548474.912</v>
      </c>
      <c r="H17" s="11">
        <v>48454110.264</v>
      </c>
      <c r="I17" s="11">
        <v>165334756.689</v>
      </c>
      <c r="K17" s="10" t="s">
        <v>58</v>
      </c>
      <c r="L17" s="11">
        <v>108003181</v>
      </c>
      <c r="M17" s="11">
        <v>61995655</v>
      </c>
      <c r="N17" s="11">
        <v>201507476</v>
      </c>
      <c r="P17" s="20"/>
      <c r="Q17" s="20"/>
      <c r="R17" s="20"/>
      <c r="T17" s="7"/>
      <c r="U17" s="7"/>
      <c r="V17" s="7"/>
    </row>
    <row r="18" spans="1:13" ht="9.75" customHeight="1" thickTop="1">
      <c r="A18" s="1"/>
      <c r="B18" s="4"/>
      <c r="C18" s="4"/>
      <c r="F18" s="1"/>
      <c r="G18" s="4"/>
      <c r="H18" s="4"/>
      <c r="K18" s="1"/>
      <c r="L18" s="4"/>
      <c r="M18" s="4"/>
    </row>
  </sheetData>
  <sheetProtection/>
  <mergeCells count="3">
    <mergeCell ref="B1:D1"/>
    <mergeCell ref="G1:I1"/>
    <mergeCell ref="L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J1">
      <selection activeCell="P7" sqref="P7"/>
    </sheetView>
  </sheetViews>
  <sheetFormatPr defaultColWidth="9.00390625" defaultRowHeight="15.75"/>
  <cols>
    <col min="1" max="1" width="39.375" style="0" hidden="1" customWidth="1"/>
    <col min="2" max="2" width="17.25390625" style="0" hidden="1" customWidth="1"/>
    <col min="3" max="3" width="18.375" style="0" hidden="1" customWidth="1"/>
    <col min="4" max="4" width="18.125" style="0" hidden="1" customWidth="1"/>
    <col min="5" max="5" width="1.625" style="0" hidden="1" customWidth="1"/>
    <col min="6" max="6" width="42.875" style="0" hidden="1" customWidth="1"/>
    <col min="7" max="7" width="17.25390625" style="0" hidden="1" customWidth="1"/>
    <col min="8" max="8" width="18.375" style="0" hidden="1" customWidth="1"/>
    <col min="9" max="9" width="18.125" style="0" hidden="1" customWidth="1"/>
    <col min="10" max="10" width="3.875" style="0" customWidth="1"/>
    <col min="11" max="11" width="42.875" style="0" customWidth="1"/>
    <col min="12" max="12" width="17.25390625" style="0" bestFit="1" customWidth="1"/>
    <col min="13" max="13" width="22.625" style="0" customWidth="1"/>
    <col min="14" max="14" width="23.75390625" style="0" customWidth="1"/>
    <col min="16" max="16" width="10.125" style="0" bestFit="1" customWidth="1"/>
    <col min="17" max="17" width="9.875" style="0" customWidth="1"/>
    <col min="18" max="18" width="11.375" style="0" customWidth="1"/>
  </cols>
  <sheetData>
    <row r="1" spans="1:14" ht="18" customHeight="1">
      <c r="A1" s="17"/>
      <c r="B1" s="25" t="s">
        <v>5</v>
      </c>
      <c r="C1" s="25"/>
      <c r="D1" s="25"/>
      <c r="F1" s="17"/>
      <c r="G1" s="25" t="s">
        <v>40</v>
      </c>
      <c r="H1" s="25"/>
      <c r="I1" s="25"/>
      <c r="K1" s="17"/>
      <c r="L1" s="27" t="s">
        <v>46</v>
      </c>
      <c r="M1" s="27"/>
      <c r="N1" s="27"/>
    </row>
    <row r="2" spans="1:14" ht="20.25" customHeight="1">
      <c r="A2" s="16" t="s">
        <v>34</v>
      </c>
      <c r="B2" s="6" t="s">
        <v>6</v>
      </c>
      <c r="C2" s="6" t="s">
        <v>7</v>
      </c>
      <c r="D2" s="6" t="s">
        <v>36</v>
      </c>
      <c r="F2" s="16" t="s">
        <v>34</v>
      </c>
      <c r="G2" s="6" t="s">
        <v>6</v>
      </c>
      <c r="H2" s="6" t="s">
        <v>7</v>
      </c>
      <c r="I2" s="6" t="s">
        <v>36</v>
      </c>
      <c r="K2" s="28" t="s">
        <v>34</v>
      </c>
      <c r="L2" s="6" t="s">
        <v>59</v>
      </c>
      <c r="M2" s="6" t="s">
        <v>60</v>
      </c>
      <c r="N2" s="6" t="s">
        <v>61</v>
      </c>
    </row>
    <row r="3" spans="1:14" ht="16.5">
      <c r="A3" s="1" t="s">
        <v>15</v>
      </c>
      <c r="B3" s="4">
        <v>507614.944</v>
      </c>
      <c r="C3" s="4">
        <v>3847488.2939382</v>
      </c>
      <c r="D3" s="4">
        <v>4355103.238</v>
      </c>
      <c r="F3" s="1" t="s">
        <v>15</v>
      </c>
      <c r="G3" s="19">
        <v>782109.988</v>
      </c>
      <c r="H3" s="19">
        <v>6390822.896</v>
      </c>
      <c r="I3" s="19">
        <v>7172932.884</v>
      </c>
      <c r="K3" s="1" t="s">
        <v>15</v>
      </c>
      <c r="L3" s="4">
        <v>822968</v>
      </c>
      <c r="M3" s="4">
        <v>7723818</v>
      </c>
      <c r="N3" s="4">
        <v>8546786</v>
      </c>
    </row>
    <row r="4" spans="1:14" ht="16.5">
      <c r="A4" s="1" t="s">
        <v>31</v>
      </c>
      <c r="B4" s="4">
        <f>324048.978+2586687.189+464878.884+936440.7+688234.245</f>
        <v>5000289.996</v>
      </c>
      <c r="C4" s="4">
        <f>4936453.3591308+0+1372.66+0+23374.497</f>
        <v>4961200.5161308</v>
      </c>
      <c r="D4" s="4">
        <v>11839974.539</v>
      </c>
      <c r="F4" s="1" t="s">
        <v>31</v>
      </c>
      <c r="G4" s="19">
        <v>6893914.822</v>
      </c>
      <c r="H4" s="19">
        <v>6561184.98</v>
      </c>
      <c r="I4" s="19">
        <v>15981591.534</v>
      </c>
      <c r="K4" s="1" t="s">
        <v>31</v>
      </c>
      <c r="L4" s="4">
        <v>8396342</v>
      </c>
      <c r="M4" s="4">
        <v>7034208</v>
      </c>
      <c r="N4" s="4">
        <v>18159384</v>
      </c>
    </row>
    <row r="5" spans="1:14" ht="16.5">
      <c r="A5" s="1" t="s">
        <v>17</v>
      </c>
      <c r="B5" s="4">
        <v>964499.422</v>
      </c>
      <c r="C5" s="4">
        <v>838046.4217866</v>
      </c>
      <c r="D5" s="4">
        <v>1802545.844</v>
      </c>
      <c r="F5" s="1" t="s">
        <v>17</v>
      </c>
      <c r="G5" s="19">
        <v>1321383.073</v>
      </c>
      <c r="H5" s="19">
        <v>948813.394</v>
      </c>
      <c r="I5" s="19">
        <v>2270196.467</v>
      </c>
      <c r="K5" s="1" t="s">
        <v>17</v>
      </c>
      <c r="L5" s="4">
        <v>1672064</v>
      </c>
      <c r="M5" s="4">
        <v>233267</v>
      </c>
      <c r="N5" s="4">
        <v>1905331</v>
      </c>
    </row>
    <row r="6" spans="1:14" ht="16.5">
      <c r="A6" s="1" t="s">
        <v>16</v>
      </c>
      <c r="B6" s="4">
        <v>1427316.067056</v>
      </c>
      <c r="C6" s="4">
        <v>771694.3136232</v>
      </c>
      <c r="D6" s="4">
        <v>2383889.233</v>
      </c>
      <c r="F6" s="1" t="s">
        <v>16</v>
      </c>
      <c r="G6" s="19">
        <v>1971710.183</v>
      </c>
      <c r="H6" s="19">
        <v>1136153.557</v>
      </c>
      <c r="I6" s="19">
        <v>3351970.447</v>
      </c>
      <c r="K6" s="1" t="s">
        <v>16</v>
      </c>
      <c r="L6" s="4">
        <v>2498079</v>
      </c>
      <c r="M6" s="4">
        <v>1576693</v>
      </c>
      <c r="N6" s="4">
        <v>4310818</v>
      </c>
    </row>
    <row r="7" spans="1:14" ht="16.5">
      <c r="A7" s="1" t="s">
        <v>18</v>
      </c>
      <c r="B7" s="4">
        <v>159285.566</v>
      </c>
      <c r="C7" s="4">
        <v>25194.0767364</v>
      </c>
      <c r="D7" s="4">
        <v>538654.888</v>
      </c>
      <c r="F7" s="1" t="s">
        <v>18</v>
      </c>
      <c r="G7" s="19">
        <v>1071680.611</v>
      </c>
      <c r="H7" s="19">
        <v>51937.176</v>
      </c>
      <c r="I7" s="19">
        <v>1634988.83</v>
      </c>
      <c r="K7" s="1" t="s">
        <v>18</v>
      </c>
      <c r="L7" s="4">
        <f>L8-SUM(L3:L6)</f>
        <v>1084871</v>
      </c>
      <c r="M7" s="4">
        <f>M8-SUM(M3:M6)</f>
        <v>111833</v>
      </c>
      <c r="N7" s="4">
        <f>N8-SUM(N3:N6)</f>
        <v>1630355</v>
      </c>
    </row>
    <row r="8" spans="1:14" ht="16.5">
      <c r="A8" s="3" t="s">
        <v>19</v>
      </c>
      <c r="B8" s="12">
        <v>8059005.994768</v>
      </c>
      <c r="C8" s="12">
        <v>10443623.6222796</v>
      </c>
      <c r="D8" s="12">
        <f>SUM(D3:D7)</f>
        <v>20920167.742</v>
      </c>
      <c r="F8" s="3" t="s">
        <v>19</v>
      </c>
      <c r="G8" s="12">
        <f>SUM(G3:G7)</f>
        <v>12040798.677</v>
      </c>
      <c r="H8" s="12">
        <f>SUM(H3:H7)</f>
        <v>15088912.003</v>
      </c>
      <c r="I8" s="12">
        <f>SUM(I3:I7)</f>
        <v>30411680.162</v>
      </c>
      <c r="K8" s="3" t="s">
        <v>19</v>
      </c>
      <c r="L8" s="12">
        <v>14474324</v>
      </c>
      <c r="M8" s="12">
        <v>16679819</v>
      </c>
      <c r="N8" s="12">
        <v>34552674</v>
      </c>
    </row>
    <row r="9" spans="1:14" ht="16.5">
      <c r="A9" s="1" t="s">
        <v>20</v>
      </c>
      <c r="B9" s="4">
        <v>442038.7</v>
      </c>
      <c r="C9" s="4">
        <v>3459547.729845</v>
      </c>
      <c r="D9" s="4">
        <v>3901586.43</v>
      </c>
      <c r="F9" s="1" t="s">
        <v>20</v>
      </c>
      <c r="G9" s="19">
        <v>698450.331</v>
      </c>
      <c r="H9" s="19">
        <v>5732041.217</v>
      </c>
      <c r="I9" s="19">
        <v>6430491.548</v>
      </c>
      <c r="J9" s="7"/>
      <c r="K9" s="1" t="s">
        <v>20</v>
      </c>
      <c r="L9" s="4">
        <v>749328</v>
      </c>
      <c r="M9" s="4">
        <v>6696583</v>
      </c>
      <c r="N9" s="4">
        <v>7445911</v>
      </c>
    </row>
    <row r="10" spans="1:14" ht="16.5">
      <c r="A10" s="1" t="s">
        <v>21</v>
      </c>
      <c r="B10" s="4">
        <v>677149.98332</v>
      </c>
      <c r="C10" s="4">
        <v>1573039.4766258</v>
      </c>
      <c r="D10" s="4">
        <v>2989112.448</v>
      </c>
      <c r="F10" s="1" t="s">
        <v>21</v>
      </c>
      <c r="G10" s="19">
        <v>731902.365</v>
      </c>
      <c r="H10" s="19">
        <v>2255286.252</v>
      </c>
      <c r="I10" s="19">
        <v>3985774.568</v>
      </c>
      <c r="J10" s="7"/>
      <c r="K10" s="1" t="s">
        <v>21</v>
      </c>
      <c r="L10" s="4">
        <v>1466629</v>
      </c>
      <c r="M10" s="4">
        <v>1819122</v>
      </c>
      <c r="N10" s="4">
        <v>4357416</v>
      </c>
    </row>
    <row r="11" spans="1:15" ht="16.5">
      <c r="A11" s="1" t="s">
        <v>39</v>
      </c>
      <c r="B11" s="4">
        <f>535726.279+88803</f>
        <v>624529.279</v>
      </c>
      <c r="C11" s="4">
        <f>524721.7839684+242512</f>
        <v>767233.7839684</v>
      </c>
      <c r="D11" s="4">
        <f>1060448.063+331315</f>
        <v>1391763.063</v>
      </c>
      <c r="F11" s="1" t="s">
        <v>39</v>
      </c>
      <c r="G11" s="19">
        <f>738154.979+131632.632</f>
        <v>869787.611</v>
      </c>
      <c r="H11" s="19">
        <f>637044.649+287943.211</f>
        <v>924987.86</v>
      </c>
      <c r="I11" s="19">
        <f>1375199.628+419575.843</f>
        <v>1794775.471</v>
      </c>
      <c r="J11" s="7"/>
      <c r="K11" s="1" t="s">
        <v>39</v>
      </c>
      <c r="L11" s="4">
        <v>1168376</v>
      </c>
      <c r="M11" s="4">
        <v>186196</v>
      </c>
      <c r="N11" s="4">
        <v>1354572</v>
      </c>
      <c r="O11" s="22"/>
    </row>
    <row r="12" spans="1:14" ht="16.5">
      <c r="A12" s="1" t="s">
        <v>22</v>
      </c>
      <c r="B12" s="4">
        <f>182330.887+14853.448+138444</f>
        <v>335628.33499999996</v>
      </c>
      <c r="C12" s="4">
        <f>24274.5467556+3971.747+106082</f>
        <v>134328.2937556</v>
      </c>
      <c r="D12" s="4">
        <f>18825.195+206675.346+271773</f>
        <v>497273.54099999997</v>
      </c>
      <c r="F12" s="1" t="s">
        <v>22</v>
      </c>
      <c r="G12" s="19">
        <f>193578.766+12209.715+780445.267</f>
        <v>986233.748</v>
      </c>
      <c r="H12" s="19">
        <f>141398.052-40083.394+33393.857</f>
        <v>134708.515</v>
      </c>
      <c r="I12" s="19">
        <f>370142.679-27873.679+813975.3</f>
        <v>1156244.3</v>
      </c>
      <c r="K12" s="1" t="s">
        <v>22</v>
      </c>
      <c r="L12" s="4">
        <f>L13-SUM(L9:L11)</f>
        <v>1102234</v>
      </c>
      <c r="M12" s="4">
        <f>M13-SUM(M9:M11)</f>
        <v>185009</v>
      </c>
      <c r="N12" s="4">
        <f>N13-SUM(N9:N11)</f>
        <v>1320394</v>
      </c>
    </row>
    <row r="13" spans="1:14" ht="16.5">
      <c r="A13" s="3" t="s">
        <v>23</v>
      </c>
      <c r="B13" s="12">
        <v>2079345.98232</v>
      </c>
      <c r="C13" s="12">
        <v>5934149.347881</v>
      </c>
      <c r="D13" s="12">
        <f>SUM(D9:D12)</f>
        <v>8779735.482</v>
      </c>
      <c r="E13" s="7"/>
      <c r="F13" s="3" t="s">
        <v>23</v>
      </c>
      <c r="G13" s="12">
        <f>SUM(G9:G12)</f>
        <v>3286374.055</v>
      </c>
      <c r="H13" s="12">
        <f>SUM(H9:H12)</f>
        <v>9047023.844</v>
      </c>
      <c r="I13" s="12">
        <f>SUM(I9:I12)</f>
        <v>13367285.887000002</v>
      </c>
      <c r="K13" s="3" t="s">
        <v>23</v>
      </c>
      <c r="L13" s="12">
        <v>4486567</v>
      </c>
      <c r="M13" s="12">
        <v>8886910</v>
      </c>
      <c r="N13" s="12">
        <v>14478293</v>
      </c>
    </row>
    <row r="14" spans="1:18" ht="16.5">
      <c r="A14" s="2" t="s">
        <v>32</v>
      </c>
      <c r="B14" s="14">
        <v>5979660.012448</v>
      </c>
      <c r="C14" s="14">
        <v>4509474.2743986</v>
      </c>
      <c r="D14" s="14">
        <f>D8-D13</f>
        <v>12140432.259999998</v>
      </c>
      <c r="F14" s="2" t="s">
        <v>32</v>
      </c>
      <c r="G14" s="14">
        <v>8754424.622</v>
      </c>
      <c r="H14" s="14">
        <v>6041888.16</v>
      </c>
      <c r="I14" s="14">
        <v>17044394.276</v>
      </c>
      <c r="K14" s="2" t="s">
        <v>32</v>
      </c>
      <c r="L14" s="14">
        <f>L8-L13</f>
        <v>9987757</v>
      </c>
      <c r="M14" s="14">
        <f>M8-M13</f>
        <v>7792909</v>
      </c>
      <c r="N14" s="14">
        <f>N8-N13</f>
        <v>20074381</v>
      </c>
      <c r="P14" s="7"/>
      <c r="Q14" s="7"/>
      <c r="R14" s="7"/>
    </row>
    <row r="15" spans="1:14" ht="16.5">
      <c r="A15" s="1" t="s">
        <v>24</v>
      </c>
      <c r="B15" s="4">
        <v>1675412.969</v>
      </c>
      <c r="C15" s="4">
        <v>420711.7193778</v>
      </c>
      <c r="D15" s="4">
        <v>2665895.912</v>
      </c>
      <c r="F15" s="1" t="s">
        <v>24</v>
      </c>
      <c r="G15" s="19">
        <v>2314477.968</v>
      </c>
      <c r="H15" s="19">
        <v>568368.141</v>
      </c>
      <c r="I15" s="19">
        <v>3672668.666</v>
      </c>
      <c r="K15" s="1" t="s">
        <v>24</v>
      </c>
      <c r="L15" s="4">
        <v>2557257</v>
      </c>
      <c r="M15" s="4">
        <v>759708</v>
      </c>
      <c r="N15" s="4">
        <v>4065152</v>
      </c>
    </row>
    <row r="16" spans="1:16" ht="16.5">
      <c r="A16" s="1" t="s">
        <v>33</v>
      </c>
      <c r="B16" s="4">
        <f>151609.251+490409.353</f>
        <v>642018.604</v>
      </c>
      <c r="C16" s="4">
        <v>1010815.6230426</v>
      </c>
      <c r="D16" s="4">
        <v>1740512.209</v>
      </c>
      <c r="F16" s="1" t="s">
        <v>33</v>
      </c>
      <c r="G16" s="19">
        <v>916037.705</v>
      </c>
      <c r="H16" s="19">
        <v>1752357.058</v>
      </c>
      <c r="I16" s="19">
        <v>2799881.661</v>
      </c>
      <c r="K16" s="1" t="s">
        <v>33</v>
      </c>
      <c r="L16" s="4">
        <v>1169050</v>
      </c>
      <c r="M16" s="4">
        <v>2574058</v>
      </c>
      <c r="N16" s="4">
        <v>3970544</v>
      </c>
      <c r="P16" s="19"/>
    </row>
    <row r="17" spans="1:14" ht="16.5">
      <c r="A17" s="1" t="s">
        <v>25</v>
      </c>
      <c r="B17" s="4">
        <f>712666.3488+48752.402</f>
        <v>761418.7508</v>
      </c>
      <c r="C17" s="4">
        <f>820477.254801+62456.159</f>
        <v>882933.413801</v>
      </c>
      <c r="D17" s="4">
        <f>129511.038+1740487.291</f>
        <v>1869998.329</v>
      </c>
      <c r="E17" s="7"/>
      <c r="F17" s="1" t="s">
        <v>25</v>
      </c>
      <c r="G17" s="19">
        <f>1288627.826+65261.07</f>
        <v>1353888.896</v>
      </c>
      <c r="H17" s="19">
        <f>909047.927+113880.622</f>
        <v>1022928.549</v>
      </c>
      <c r="I17" s="19">
        <f>2477738.627+203700.082</f>
        <v>2681438.709</v>
      </c>
      <c r="K17" s="1" t="s">
        <v>25</v>
      </c>
      <c r="L17" s="4">
        <f>L18-L15-L16</f>
        <v>1599676</v>
      </c>
      <c r="M17" s="4">
        <f>M18-M15-M16</f>
        <v>1539512</v>
      </c>
      <c r="N17" s="4">
        <f>N18-N15-N16</f>
        <v>3472408</v>
      </c>
    </row>
    <row r="18" spans="1:18" ht="16.5">
      <c r="A18" s="3" t="s">
        <v>26</v>
      </c>
      <c r="B18" s="12">
        <v>3078850.32368</v>
      </c>
      <c r="C18" s="12">
        <v>2314460.756112</v>
      </c>
      <c r="D18" s="12">
        <f>SUM(D15:D17)</f>
        <v>6276406.45</v>
      </c>
      <c r="F18" s="3" t="s">
        <v>26</v>
      </c>
      <c r="G18" s="12">
        <f>SUM(G15:G17)</f>
        <v>4584404.569</v>
      </c>
      <c r="H18" s="12">
        <f>SUM(H15:H17)</f>
        <v>3343653.748</v>
      </c>
      <c r="I18" s="12">
        <f>SUM(I15:I17)</f>
        <v>9153989.035999998</v>
      </c>
      <c r="K18" s="3" t="s">
        <v>26</v>
      </c>
      <c r="L18" s="12">
        <v>5325983</v>
      </c>
      <c r="M18" s="12">
        <v>4873278</v>
      </c>
      <c r="N18" s="12">
        <v>11508104</v>
      </c>
      <c r="P18" s="7"/>
      <c r="Q18" s="7"/>
      <c r="R18" s="7"/>
    </row>
    <row r="19" spans="1:14" ht="16.5">
      <c r="A19" s="1" t="s">
        <v>27</v>
      </c>
      <c r="B19" s="4">
        <v>98286.166</v>
      </c>
      <c r="C19" s="4">
        <v>0</v>
      </c>
      <c r="D19" s="4">
        <v>106529.03</v>
      </c>
      <c r="F19" s="1" t="s">
        <v>27</v>
      </c>
      <c r="G19" s="19">
        <v>145115.06</v>
      </c>
      <c r="H19" s="19">
        <v>0</v>
      </c>
      <c r="I19" s="19">
        <v>152224.812</v>
      </c>
      <c r="K19" s="1" t="s">
        <v>47</v>
      </c>
      <c r="L19" s="4">
        <v>115993</v>
      </c>
      <c r="M19" s="4">
        <v>0</v>
      </c>
      <c r="N19" s="4">
        <v>190463</v>
      </c>
    </row>
    <row r="20" spans="1:14" ht="16.5">
      <c r="A20" s="1" t="s">
        <v>35</v>
      </c>
      <c r="B20" s="4">
        <v>-31685.719912</v>
      </c>
      <c r="C20" s="4">
        <v>271766.0947194</v>
      </c>
      <c r="D20" s="4">
        <v>313476.527</v>
      </c>
      <c r="F20" s="1" t="s">
        <v>35</v>
      </c>
      <c r="G20" s="19">
        <v>-80639.344</v>
      </c>
      <c r="H20" s="19">
        <v>538630.064</v>
      </c>
      <c r="I20" s="19">
        <v>533950.661</v>
      </c>
      <c r="K20" s="1" t="s">
        <v>35</v>
      </c>
      <c r="L20" s="4">
        <v>56890</v>
      </c>
      <c r="M20" s="4">
        <v>967351</v>
      </c>
      <c r="N20" s="4">
        <v>919974</v>
      </c>
    </row>
    <row r="21" spans="1:18" ht="16.5">
      <c r="A21" s="2" t="s">
        <v>28</v>
      </c>
      <c r="B21" s="14">
        <v>2967410.134856</v>
      </c>
      <c r="C21" s="14">
        <v>2466779.613006</v>
      </c>
      <c r="D21" s="14">
        <f>D14-D18+D19+D20</f>
        <v>6284031.366999998</v>
      </c>
      <c r="E21" s="7"/>
      <c r="F21" s="2" t="s">
        <v>28</v>
      </c>
      <c r="G21" s="14">
        <f>G14-G18+G19+G20</f>
        <v>4234495.768999999</v>
      </c>
      <c r="H21" s="14">
        <f>H14-H18+H19+H20</f>
        <v>3236864.476</v>
      </c>
      <c r="I21" s="14">
        <f>I14-I18+I19+I20</f>
        <v>8576580.713000001</v>
      </c>
      <c r="K21" s="2" t="s">
        <v>28</v>
      </c>
      <c r="L21" s="14">
        <v>4834657</v>
      </c>
      <c r="M21" s="14">
        <v>3886982</v>
      </c>
      <c r="N21" s="14">
        <v>9676714</v>
      </c>
      <c r="P21" s="7"/>
      <c r="Q21" s="7"/>
      <c r="R21" s="7"/>
    </row>
    <row r="22" spans="1:16" ht="16.5">
      <c r="A22" s="1" t="s">
        <v>29</v>
      </c>
      <c r="B22" s="4">
        <v>546151.494</v>
      </c>
      <c r="C22" s="4">
        <v>758538.965238</v>
      </c>
      <c r="D22" s="4">
        <v>1761841.747</v>
      </c>
      <c r="F22" s="1" t="s">
        <v>29</v>
      </c>
      <c r="G22" s="4">
        <v>734352.367</v>
      </c>
      <c r="H22" s="4">
        <v>1003715.422</v>
      </c>
      <c r="I22" s="4">
        <v>2368593.194</v>
      </c>
      <c r="J22" s="7"/>
      <c r="K22" s="1" t="s">
        <v>29</v>
      </c>
      <c r="L22" s="4">
        <v>779308</v>
      </c>
      <c r="M22" s="4">
        <v>1093200</v>
      </c>
      <c r="N22" s="4">
        <v>2521945</v>
      </c>
      <c r="P22" s="7"/>
    </row>
    <row r="23" spans="1:14" ht="17.25" thickBot="1">
      <c r="A23" s="13" t="s">
        <v>30</v>
      </c>
      <c r="B23" s="15">
        <v>2421258.640856</v>
      </c>
      <c r="C23" s="15">
        <v>1708240.647768</v>
      </c>
      <c r="D23" s="15">
        <f>D21-D22</f>
        <v>4522189.619999997</v>
      </c>
      <c r="F23" s="13" t="s">
        <v>30</v>
      </c>
      <c r="G23" s="15">
        <f>G21-G22</f>
        <v>3500143.4019999993</v>
      </c>
      <c r="H23" s="15">
        <f>H21-H22</f>
        <v>2233149.0539999995</v>
      </c>
      <c r="I23" s="15">
        <f>I21-I22</f>
        <v>6207987.519000001</v>
      </c>
      <c r="K23" s="13" t="s">
        <v>48</v>
      </c>
      <c r="L23" s="15">
        <f>L21-L22</f>
        <v>4055349</v>
      </c>
      <c r="M23" s="15">
        <f>M21-M22</f>
        <v>2793782</v>
      </c>
      <c r="N23" s="15">
        <f>N21-N22</f>
        <v>7154769</v>
      </c>
    </row>
    <row r="24" spans="11:14" ht="17.25" thickTop="1">
      <c r="K24" s="29"/>
      <c r="L24" s="30"/>
      <c r="M24" s="30"/>
      <c r="N24" s="31"/>
    </row>
  </sheetData>
  <sheetProtection/>
  <mergeCells count="3">
    <mergeCell ref="B1:D1"/>
    <mergeCell ref="G1:I1"/>
    <mergeCell ref="L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CHAILEASE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VicWang【王廷維】</dc:creator>
  <cp:keywords/>
  <dc:description/>
  <cp:lastModifiedBy>KimberlyLian【連嘉琳】</cp:lastModifiedBy>
  <cp:lastPrinted>2015-04-13T09:25:24Z</cp:lastPrinted>
  <dcterms:created xsi:type="dcterms:W3CDTF">2014-02-05T03:28:49Z</dcterms:created>
  <dcterms:modified xsi:type="dcterms:W3CDTF">2015-05-13T07:22:49Z</dcterms:modified>
  <cp:category/>
  <cp:version/>
  <cp:contentType/>
  <cp:contentStatus/>
</cp:coreProperties>
</file>